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mNAS\Privat\Gemeinde Oftringen\ERZO\Finanzen\"/>
    </mc:Choice>
  </mc:AlternateContent>
  <xr:revisionPtr revIDLastSave="0" documentId="13_ncr:1_{50E0A127-5E47-4A28-A984-58341EDD6D0C}" xr6:coauthVersionLast="47" xr6:coauthVersionMax="47" xr10:uidLastSave="{00000000-0000-0000-0000-000000000000}"/>
  <bookViews>
    <workbookView xWindow="64275" yWindow="1320" windowWidth="20985" windowHeight="13395" xr2:uid="{73A0402F-F72D-44AB-A576-1FBFCEE5DBBA}"/>
  </bookViews>
  <sheets>
    <sheet name="Planerfolgsrechnung Renzo" sheetId="1" r:id="rId1"/>
  </sheets>
  <definedNames>
    <definedName name="_xlnm.Print_Area" localSheetId="0">'Planerfolgsrechnung Renzo'!$A$1:$I$50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4" i="1" s="1"/>
  <c r="G25" i="1"/>
  <c r="G24" i="1" s="1"/>
  <c r="H39" i="1"/>
  <c r="I39" i="1"/>
  <c r="I44" i="1" s="1"/>
  <c r="I28" i="1"/>
  <c r="I16" i="1"/>
  <c r="I14" i="1" s="1"/>
  <c r="H44" i="1"/>
  <c r="I5" i="1"/>
  <c r="I7" i="1" s="1"/>
  <c r="H5" i="1"/>
  <c r="H7" i="1" s="1"/>
  <c r="G5" i="1"/>
  <c r="G13" i="1"/>
  <c r="H13" i="1" s="1"/>
  <c r="I43" i="1"/>
  <c r="H43" i="1"/>
  <c r="G43" i="1"/>
  <c r="F43" i="1"/>
  <c r="E43" i="1"/>
  <c r="E44" i="1" s="1"/>
  <c r="D43" i="1"/>
  <c r="D44" i="1" s="1"/>
  <c r="C43" i="1"/>
  <c r="C44" i="1" s="1"/>
  <c r="H24" i="1"/>
  <c r="F24" i="1"/>
  <c r="E24" i="1"/>
  <c r="D24" i="1"/>
  <c r="C24" i="1"/>
  <c r="I21" i="1"/>
  <c r="H21" i="1"/>
  <c r="G21" i="1"/>
  <c r="F21" i="1"/>
  <c r="E21" i="1"/>
  <c r="D21" i="1"/>
  <c r="C21" i="1"/>
  <c r="E18" i="1"/>
  <c r="D18" i="1"/>
  <c r="C18" i="1"/>
  <c r="E27" i="1"/>
  <c r="E29" i="1" s="1"/>
  <c r="D27" i="1"/>
  <c r="D29" i="1" s="1"/>
  <c r="C27" i="1"/>
  <c r="C29" i="1" s="1"/>
  <c r="F19" i="1"/>
  <c r="G19" i="1" s="1"/>
  <c r="H19" i="1" s="1"/>
  <c r="I19" i="1" s="1"/>
  <c r="I27" i="1" s="1"/>
  <c r="H14" i="1"/>
  <c r="G14" i="1"/>
  <c r="F14" i="1"/>
  <c r="E14" i="1"/>
  <c r="D14" i="1"/>
  <c r="C14" i="1"/>
  <c r="F11" i="1"/>
  <c r="E11" i="1"/>
  <c r="D11" i="1"/>
  <c r="C11" i="1"/>
  <c r="G7" i="1"/>
  <c r="G9" i="1" s="1"/>
  <c r="F7" i="1"/>
  <c r="F9" i="1" s="1"/>
  <c r="E7" i="1"/>
  <c r="E9" i="1" s="1"/>
  <c r="D7" i="1"/>
  <c r="D9" i="1" s="1"/>
  <c r="C7" i="1"/>
  <c r="C9" i="1" s="1"/>
  <c r="G11" i="1" l="1"/>
  <c r="F44" i="1"/>
  <c r="H11" i="1"/>
  <c r="I13" i="1"/>
  <c r="I11" i="1" s="1"/>
  <c r="E30" i="1"/>
  <c r="E45" i="1" s="1"/>
  <c r="D30" i="1"/>
  <c r="D45" i="1" s="1"/>
  <c r="D47" i="1" s="1"/>
  <c r="C30" i="1"/>
  <c r="C45" i="1" s="1"/>
  <c r="F35" i="1"/>
  <c r="H9" i="1"/>
  <c r="H35" i="1"/>
  <c r="I9" i="1"/>
  <c r="I35" i="1"/>
  <c r="G35" i="1"/>
  <c r="G44" i="1" s="1"/>
  <c r="G18" i="1"/>
  <c r="G30" i="1" s="1"/>
  <c r="H18" i="1"/>
  <c r="H30" i="1" s="1"/>
  <c r="I18" i="1"/>
  <c r="F18" i="1"/>
  <c r="F30" i="1" s="1"/>
  <c r="I29" i="1"/>
  <c r="I30" i="1" s="1"/>
  <c r="F27" i="1"/>
  <c r="F29" i="1" s="1"/>
  <c r="G27" i="1"/>
  <c r="G29" i="1" s="1"/>
  <c r="H27" i="1"/>
  <c r="H29" i="1" s="1"/>
  <c r="E46" i="1" l="1"/>
  <c r="E47" i="1" s="1"/>
  <c r="C46" i="1"/>
  <c r="C47" i="1" s="1"/>
  <c r="F45" i="1"/>
  <c r="F47" i="1" s="1"/>
  <c r="H45" i="1"/>
  <c r="H47" i="1" s="1"/>
  <c r="I45" i="1"/>
  <c r="I47" i="1" s="1"/>
  <c r="G45" i="1"/>
  <c r="G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Bürkli</author>
  </authors>
  <commentList>
    <comment ref="A5" authorId="0" shapeId="0" xr:uid="{A66C869B-EC5A-433B-B996-38FD0CDC8B3C}">
      <text>
        <r>
          <rPr>
            <b/>
            <sz val="9"/>
            <color indexed="81"/>
            <rFont val="Segoe UI"/>
            <charset val="1"/>
          </rPr>
          <t>Markus Bürkli:</t>
        </r>
        <r>
          <rPr>
            <sz val="9"/>
            <color indexed="81"/>
            <rFont val="Segoe UI"/>
            <charset val="1"/>
          </rPr>
          <t xml:space="preserve">
Hochrechnung Werdhölzli CCS</t>
        </r>
      </text>
    </comment>
    <comment ref="I16" authorId="0" shapeId="0" xr:uid="{8B22DD61-932D-4E62-9BEE-631428004F8B}">
      <text>
        <r>
          <rPr>
            <b/>
            <sz val="9"/>
            <color indexed="81"/>
            <rFont val="Segoe UI"/>
            <charset val="1"/>
          </rPr>
          <t>Markus Bürkli:</t>
        </r>
        <r>
          <rPr>
            <sz val="9"/>
            <color indexed="81"/>
            <rFont val="Segoe UI"/>
            <charset val="1"/>
          </rPr>
          <t xml:space="preserve">
Machbarkeitsstudie Seite 39</t>
        </r>
      </text>
    </comment>
    <comment ref="F17" authorId="0" shapeId="0" xr:uid="{92FFD581-290D-41F0-8521-F527A5AE1B99}">
      <text>
        <r>
          <rPr>
            <b/>
            <sz val="9"/>
            <color indexed="81"/>
            <rFont val="Segoe UI"/>
            <charset val="1"/>
          </rPr>
          <t>Markus Bürkli:</t>
        </r>
        <r>
          <rPr>
            <sz val="9"/>
            <color indexed="81"/>
            <rFont val="Segoe UI"/>
            <charset val="1"/>
          </rPr>
          <t xml:space="preserve">
Jahresmittelwert Strommarkt BFE 2024</t>
        </r>
      </text>
    </comment>
    <comment ref="H17" authorId="0" shapeId="0" xr:uid="{9BAE4763-C1B9-4C5B-876C-7BDA421A3D1D}">
      <text>
        <r>
          <rPr>
            <b/>
            <sz val="9"/>
            <color indexed="81"/>
            <rFont val="Segoe UI"/>
            <charset val="1"/>
          </rPr>
          <t>Markus Bürkli:</t>
        </r>
        <r>
          <rPr>
            <sz val="9"/>
            <color indexed="81"/>
            <rFont val="Segoe UI"/>
            <charset val="1"/>
          </rPr>
          <t xml:space="preserve">
Mittelwert Sommermonate Strommarkt BFE 2024</t>
        </r>
      </text>
    </comment>
    <comment ref="A28" authorId="0" shapeId="0" xr:uid="{364803EE-F424-4720-BADB-C6E16AF24015}">
      <text>
        <r>
          <rPr>
            <b/>
            <sz val="9"/>
            <color indexed="81"/>
            <rFont val="Segoe UI"/>
            <family val="2"/>
          </rPr>
          <t>Markus Bürkli:</t>
        </r>
        <r>
          <rPr>
            <sz val="9"/>
            <color indexed="81"/>
            <rFont val="Segoe UI"/>
            <family val="2"/>
          </rPr>
          <t xml:space="preserve">
Schlussbericht BAFU Kostenschätzung CCS, Seite 33; Tabelle 6</t>
        </r>
      </text>
    </comment>
    <comment ref="I28" authorId="0" shapeId="0" xr:uid="{26CAB466-54E5-4F5E-AE0D-3706D54578F6}">
      <text>
        <r>
          <rPr>
            <b/>
            <sz val="9"/>
            <color indexed="81"/>
            <rFont val="Segoe UI"/>
            <charset val="1"/>
          </rPr>
          <t>Markus Bürkli:</t>
        </r>
        <r>
          <rPr>
            <sz val="9"/>
            <color indexed="81"/>
            <rFont val="Segoe UI"/>
            <charset val="1"/>
          </rPr>
          <t xml:space="preserve">
Machbarkeitsstudie Seite 39</t>
        </r>
      </text>
    </comment>
  </commentList>
</comments>
</file>

<file path=xl/sharedStrings.xml><?xml version="1.0" encoding="utf-8"?>
<sst xmlns="http://schemas.openxmlformats.org/spreadsheetml/2006/main" count="101" uniqueCount="66">
  <si>
    <t>Planerfolgsrechnung (Basis Machbarkeitsstudie Rytec 2023, Seite 73)</t>
  </si>
  <si>
    <t>Kennzahlen</t>
  </si>
  <si>
    <t>Einheit</t>
  </si>
  <si>
    <t>realistic case</t>
  </si>
  <si>
    <t>worst case</t>
  </si>
  <si>
    <t>best case</t>
  </si>
  <si>
    <t>absoluter worst case</t>
  </si>
  <si>
    <t>Zahlen Machbarkeitsstudie</t>
  </si>
  <si>
    <t xml:space="preserve">Investitionen </t>
  </si>
  <si>
    <t>CCS (Carbon capture and storage)</t>
  </si>
  <si>
    <t>Speicher und Power-to-head</t>
  </si>
  <si>
    <t>Total Investitionen</t>
  </si>
  <si>
    <t>Ertrag</t>
  </si>
  <si>
    <t>Verbrennung Kehricht</t>
  </si>
  <si>
    <t>Kehrichtmenge</t>
  </si>
  <si>
    <t>Ø - Preis Abfallmix</t>
  </si>
  <si>
    <t>Ø -Preis Dampf</t>
  </si>
  <si>
    <t>Ø - Preis Fernwärme</t>
  </si>
  <si>
    <t>davon Fremdkapital (ca. 65%)</t>
  </si>
  <si>
    <t>Eigenkapital</t>
  </si>
  <si>
    <t>Verkauf Strom</t>
  </si>
  <si>
    <t>Strommenge</t>
  </si>
  <si>
    <t>Verkauf Prozessdampf an Industrie</t>
  </si>
  <si>
    <t>Energie-Menge Dampf</t>
  </si>
  <si>
    <t>Verkauf Prozessdampf an Phosphor 26</t>
  </si>
  <si>
    <t>Verkauf Fernwärme</t>
  </si>
  <si>
    <t>Total Ertrag</t>
  </si>
  <si>
    <t>Erlös-Tarife errechnet aus Geschäftsbericht KVA Jahr 2022</t>
  </si>
  <si>
    <t>Aufwand</t>
  </si>
  <si>
    <t>Personalaufwand</t>
  </si>
  <si>
    <t>Anzahl Mitarbeiter</t>
  </si>
  <si>
    <t>Energie, Betriebsmittel</t>
  </si>
  <si>
    <t>Entsorgungsaufwand</t>
  </si>
  <si>
    <t>übriger Aufwand</t>
  </si>
  <si>
    <t>Abschreibungen</t>
  </si>
  <si>
    <t>Gebäude 40 Jahre, Maschinen 25 Jahre in %</t>
  </si>
  <si>
    <t>Fremdkapital-Zinsen 3%</t>
  </si>
  <si>
    <t>Total Aufwand</t>
  </si>
  <si>
    <t>Steuern 18.4%</t>
  </si>
  <si>
    <t>Eigenkapitalrendite</t>
  </si>
  <si>
    <t>absoluter worst case mit:</t>
  </si>
  <si>
    <t>realistischer Investitionssummen, notwendiger Investitions-Erweiterungen (CCS, usw.)</t>
  </si>
  <si>
    <t>Mio CHF</t>
  </si>
  <si>
    <t>%</t>
  </si>
  <si>
    <t>t/Jahr</t>
  </si>
  <si>
    <t>CHF/t</t>
  </si>
  <si>
    <t>MWh/Jahr</t>
  </si>
  <si>
    <t>CHF/MWh</t>
  </si>
  <si>
    <t>Anzahl MA</t>
  </si>
  <si>
    <t>Unterhalt und Reparaturen</t>
  </si>
  <si>
    <t>in % auf Maschinen und Gebäude</t>
  </si>
  <si>
    <t>Gewinn/Verlust vor Steuern</t>
  </si>
  <si>
    <t>Gewinn/Verlust nach Steuern</t>
  </si>
  <si>
    <t>minus Strommenge für CCS</t>
  </si>
  <si>
    <t>0.11 MWh/t CO2</t>
  </si>
  <si>
    <t>minus Dampfmenge für CCS</t>
  </si>
  <si>
    <t>1.01 MWh/t CO2</t>
  </si>
  <si>
    <t>Energie-Menge Fernwärme</t>
  </si>
  <si>
    <t>Summe Abwärme</t>
  </si>
  <si>
    <t>netto Abwärme</t>
  </si>
  <si>
    <t>mit Tarifen  2022/24</t>
  </si>
  <si>
    <t>mit Tarifen von 2022/24 inkl. CCS</t>
  </si>
  <si>
    <t>mit CCS ab ca. Jahr 2040</t>
  </si>
  <si>
    <r>
      <t xml:space="preserve">Ø - Preis Strom </t>
    </r>
    <r>
      <rPr>
        <sz val="11"/>
        <color rgb="FFFF0000"/>
        <rFont val="Aptos Narrow"/>
        <family val="2"/>
        <scheme val="minor"/>
      </rPr>
      <t>(Jahr 2023 = 183.2)</t>
    </r>
  </si>
  <si>
    <t>Betriebs-Kosten CCS (Werdhölzli)</t>
  </si>
  <si>
    <t>Verkaufsmengen aus Studie "worst cae, erzielte Verkaufserlöse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</si>
</sst>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Aptos Narrow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9C7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textRotation="135" wrapText="1"/>
    </xf>
    <xf numFmtId="0" fontId="0" fillId="0" borderId="4" xfId="0" applyBorder="1"/>
    <xf numFmtId="0" fontId="2" fillId="0" borderId="4" xfId="0" applyFont="1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 applyAlignment="1">
      <alignment wrapText="1"/>
    </xf>
    <xf numFmtId="0" fontId="5" fillId="0" borderId="4" xfId="0" applyFont="1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textRotation="135" wrapText="1"/>
    </xf>
    <xf numFmtId="0" fontId="2" fillId="0" borderId="2" xfId="0" applyFont="1" applyBorder="1" applyAlignment="1">
      <alignment textRotation="135" wrapText="1"/>
    </xf>
    <xf numFmtId="0" fontId="2" fillId="0" borderId="17" xfId="0" applyFont="1" applyBorder="1" applyAlignment="1">
      <alignment textRotation="135" wrapText="1"/>
    </xf>
    <xf numFmtId="0" fontId="2" fillId="0" borderId="5" xfId="0" applyFont="1" applyBorder="1"/>
    <xf numFmtId="0" fontId="2" fillId="0" borderId="6" xfId="0" applyFont="1" applyBorder="1"/>
    <xf numFmtId="0" fontId="2" fillId="0" borderId="18" xfId="0" applyFont="1" applyBorder="1"/>
    <xf numFmtId="0" fontId="2" fillId="0" borderId="7" xfId="0" applyFont="1" applyBorder="1"/>
    <xf numFmtId="0" fontId="0" fillId="0" borderId="18" xfId="0" applyBorder="1"/>
    <xf numFmtId="0" fontId="0" fillId="0" borderId="7" xfId="0" applyBorder="1"/>
    <xf numFmtId="0" fontId="4" fillId="0" borderId="2" xfId="0" applyFont="1" applyBorder="1"/>
    <xf numFmtId="0" fontId="4" fillId="0" borderId="9" xfId="0" applyFont="1" applyBorder="1" applyAlignment="1">
      <alignment horizontal="center"/>
    </xf>
    <xf numFmtId="0" fontId="0" fillId="3" borderId="0" xfId="0" applyFill="1"/>
    <xf numFmtId="0" fontId="2" fillId="3" borderId="17" xfId="0" applyFont="1" applyFill="1" applyBorder="1" applyAlignment="1">
      <alignment textRotation="135" wrapText="1"/>
    </xf>
    <xf numFmtId="0" fontId="8" fillId="0" borderId="10" xfId="0" applyFont="1" applyBorder="1" applyAlignment="1">
      <alignment horizontal="center"/>
    </xf>
    <xf numFmtId="0" fontId="0" fillId="4" borderId="4" xfId="0" applyFill="1" applyBorder="1" applyAlignment="1">
      <alignment horizontal="right"/>
    </xf>
    <xf numFmtId="43" fontId="0" fillId="0" borderId="4" xfId="1" applyFont="1" applyBorder="1"/>
    <xf numFmtId="43" fontId="0" fillId="0" borderId="1" xfId="1" applyFont="1" applyBorder="1"/>
    <xf numFmtId="43" fontId="0" fillId="0" borderId="5" xfId="1" applyFont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0" fillId="0" borderId="5" xfId="1" applyNumberFormat="1" applyFont="1" applyBorder="1"/>
    <xf numFmtId="43" fontId="2" fillId="0" borderId="2" xfId="1" applyFont="1" applyBorder="1"/>
    <xf numFmtId="43" fontId="2" fillId="0" borderId="17" xfId="1" applyFont="1" applyBorder="1"/>
    <xf numFmtId="43" fontId="2" fillId="0" borderId="3" xfId="1" applyFont="1" applyBorder="1"/>
    <xf numFmtId="0" fontId="0" fillId="2" borderId="4" xfId="0" applyFill="1" applyBorder="1"/>
    <xf numFmtId="0" fontId="0" fillId="2" borderId="1" xfId="0" applyFill="1" applyBorder="1"/>
    <xf numFmtId="0" fontId="0" fillId="2" borderId="5" xfId="0" applyFill="1" applyBorder="1"/>
    <xf numFmtId="43" fontId="2" fillId="0" borderId="4" xfId="1" applyFont="1" applyBorder="1"/>
    <xf numFmtId="43" fontId="2" fillId="0" borderId="1" xfId="1" applyFont="1" applyBorder="1"/>
    <xf numFmtId="43" fontId="2" fillId="0" borderId="5" xfId="1" applyFont="1" applyBorder="1"/>
    <xf numFmtId="0" fontId="0" fillId="5" borderId="4" xfId="0" applyFill="1" applyBorder="1"/>
    <xf numFmtId="164" fontId="0" fillId="0" borderId="26" xfId="1" applyNumberFormat="1" applyFont="1" applyBorder="1"/>
    <xf numFmtId="164" fontId="0" fillId="0" borderId="22" xfId="1" applyNumberFormat="1" applyFont="1" applyBorder="1"/>
    <xf numFmtId="164" fontId="0" fillId="0" borderId="30" xfId="1" applyNumberFormat="1" applyFont="1" applyBorder="1"/>
    <xf numFmtId="164" fontId="0" fillId="5" borderId="5" xfId="1" applyNumberFormat="1" applyFont="1" applyFill="1" applyBorder="1"/>
    <xf numFmtId="0" fontId="5" fillId="0" borderId="10" xfId="0" applyFont="1" applyBorder="1" applyAlignment="1">
      <alignment horizontal="center"/>
    </xf>
    <xf numFmtId="43" fontId="5" fillId="0" borderId="4" xfId="1" applyFont="1" applyBorder="1"/>
    <xf numFmtId="43" fontId="5" fillId="0" borderId="1" xfId="1" applyFont="1" applyBorder="1"/>
    <xf numFmtId="43" fontId="5" fillId="0" borderId="5" xfId="1" applyFont="1" applyBorder="1"/>
    <xf numFmtId="165" fontId="0" fillId="0" borderId="4" xfId="2" applyNumberFormat="1" applyFont="1" applyBorder="1"/>
    <xf numFmtId="10" fontId="0" fillId="0" borderId="4" xfId="2" applyNumberFormat="1" applyFont="1" applyBorder="1"/>
    <xf numFmtId="165" fontId="0" fillId="0" borderId="1" xfId="2" applyNumberFormat="1" applyFont="1" applyBorder="1"/>
    <xf numFmtId="165" fontId="0" fillId="0" borderId="5" xfId="2" applyNumberFormat="1" applyFont="1" applyBorder="1"/>
    <xf numFmtId="10" fontId="0" fillId="0" borderId="1" xfId="2" applyNumberFormat="1" applyFont="1" applyBorder="1"/>
    <xf numFmtId="10" fontId="0" fillId="0" borderId="5" xfId="2" applyNumberFormat="1" applyFont="1" applyBorder="1"/>
    <xf numFmtId="43" fontId="0" fillId="0" borderId="6" xfId="1" applyFont="1" applyBorder="1"/>
    <xf numFmtId="43" fontId="0" fillId="0" borderId="18" xfId="1" applyFont="1" applyBorder="1"/>
    <xf numFmtId="43" fontId="0" fillId="0" borderId="7" xfId="1" applyFont="1" applyBorder="1"/>
    <xf numFmtId="43" fontId="0" fillId="0" borderId="2" xfId="1" applyFont="1" applyBorder="1"/>
    <xf numFmtId="43" fontId="0" fillId="0" borderId="17" xfId="1" applyFont="1" applyBorder="1"/>
    <xf numFmtId="43" fontId="0" fillId="0" borderId="3" xfId="1" applyFont="1" applyBorder="1"/>
    <xf numFmtId="43" fontId="4" fillId="0" borderId="2" xfId="1" applyFont="1" applyBorder="1"/>
    <xf numFmtId="43" fontId="4" fillId="0" borderId="17" xfId="1" applyFont="1" applyBorder="1"/>
    <xf numFmtId="43" fontId="4" fillId="0" borderId="3" xfId="1" applyFont="1" applyBorder="1"/>
    <xf numFmtId="0" fontId="4" fillId="0" borderId="10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43" fontId="4" fillId="0" borderId="5" xfId="1" applyFont="1" applyBorder="1"/>
    <xf numFmtId="43" fontId="4" fillId="0" borderId="23" xfId="1" applyFont="1" applyBorder="1"/>
    <xf numFmtId="43" fontId="4" fillId="0" borderId="24" xfId="1" applyFont="1" applyBorder="1"/>
    <xf numFmtId="43" fontId="4" fillId="0" borderId="25" xfId="1" applyFont="1" applyBorder="1"/>
    <xf numFmtId="43" fontId="4" fillId="0" borderId="19" xfId="1" applyFont="1" applyBorder="1"/>
    <xf numFmtId="43" fontId="4" fillId="0" borderId="20" xfId="1" applyFont="1" applyBorder="1"/>
    <xf numFmtId="43" fontId="4" fillId="0" borderId="21" xfId="1" applyFont="1" applyBorder="1"/>
    <xf numFmtId="43" fontId="0" fillId="2" borderId="4" xfId="1" applyFont="1" applyFill="1" applyBorder="1"/>
    <xf numFmtId="43" fontId="0" fillId="2" borderId="1" xfId="1" applyFont="1" applyFill="1" applyBorder="1"/>
    <xf numFmtId="43" fontId="0" fillId="2" borderId="5" xfId="1" applyFont="1" applyFill="1" applyBorder="1"/>
    <xf numFmtId="0" fontId="11" fillId="0" borderId="4" xfId="0" applyFont="1" applyBorder="1"/>
    <xf numFmtId="0" fontId="11" fillId="0" borderId="10" xfId="0" applyFont="1" applyBorder="1" applyAlignment="1">
      <alignment horizontal="center"/>
    </xf>
    <xf numFmtId="43" fontId="11" fillId="0" borderId="4" xfId="1" applyFont="1" applyBorder="1"/>
    <xf numFmtId="43" fontId="11" fillId="0" borderId="1" xfId="1" applyFont="1" applyBorder="1"/>
    <xf numFmtId="43" fontId="11" fillId="0" borderId="5" xfId="1" applyFont="1" applyBorder="1"/>
    <xf numFmtId="1" fontId="0" fillId="4" borderId="1" xfId="0" applyNumberFormat="1" applyFill="1" applyBorder="1"/>
    <xf numFmtId="1" fontId="0" fillId="4" borderId="5" xfId="0" applyNumberFormat="1" applyFill="1" applyBorder="1"/>
    <xf numFmtId="0" fontId="6" fillId="0" borderId="8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9C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49C0-2647-4720-BEA3-F69EC8DE3CBC}">
  <sheetPr>
    <pageSetUpPr fitToPage="1"/>
  </sheetPr>
  <dimension ref="A1:I50"/>
  <sheetViews>
    <sheetView tabSelected="1" workbookViewId="0">
      <pane ySplit="3" topLeftCell="A15" activePane="bottomLeft" state="frozen"/>
      <selection pane="bottomLeft" activeCell="G23" sqref="G23"/>
    </sheetView>
  </sheetViews>
  <sheetFormatPr baseColWidth="10" defaultRowHeight="14.5" x14ac:dyDescent="0.35"/>
  <cols>
    <col min="1" max="1" width="32" customWidth="1"/>
    <col min="2" max="2" width="9.7265625" customWidth="1"/>
    <col min="3" max="9" width="8.7265625" customWidth="1"/>
  </cols>
  <sheetData>
    <row r="1" spans="1:9" ht="16.5" thickBot="1" x14ac:dyDescent="0.45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spans="1:9" ht="18" customHeight="1" thickBot="1" x14ac:dyDescent="0.45">
      <c r="B2" s="93" t="s">
        <v>7</v>
      </c>
      <c r="C2" s="94"/>
      <c r="D2" s="95"/>
    </row>
    <row r="3" spans="1:9" ht="71" customHeight="1" x14ac:dyDescent="0.35">
      <c r="A3" s="5" t="s">
        <v>1</v>
      </c>
      <c r="B3" s="17" t="s">
        <v>2</v>
      </c>
      <c r="C3" s="18" t="s">
        <v>3</v>
      </c>
      <c r="D3" s="19" t="s">
        <v>4</v>
      </c>
      <c r="E3" s="6" t="s">
        <v>5</v>
      </c>
      <c r="F3" s="18" t="s">
        <v>60</v>
      </c>
      <c r="G3" s="19" t="s">
        <v>61</v>
      </c>
      <c r="H3" s="29" t="s">
        <v>6</v>
      </c>
      <c r="I3" s="6" t="s">
        <v>62</v>
      </c>
    </row>
    <row r="4" spans="1:9" x14ac:dyDescent="0.35">
      <c r="A4" s="7" t="s">
        <v>8</v>
      </c>
      <c r="B4" s="14" t="s">
        <v>42</v>
      </c>
      <c r="C4" s="7">
        <v>220</v>
      </c>
      <c r="D4" s="3">
        <v>240</v>
      </c>
      <c r="E4" s="10">
        <v>200</v>
      </c>
      <c r="F4" s="7">
        <v>220</v>
      </c>
      <c r="G4" s="3">
        <v>350</v>
      </c>
      <c r="H4" s="3">
        <v>320</v>
      </c>
      <c r="I4" s="10">
        <v>320</v>
      </c>
    </row>
    <row r="5" spans="1:9" x14ac:dyDescent="0.35">
      <c r="A5" s="31" t="s">
        <v>9</v>
      </c>
      <c r="B5" s="14" t="s">
        <v>42</v>
      </c>
      <c r="C5" s="7"/>
      <c r="D5" s="3"/>
      <c r="E5" s="10"/>
      <c r="F5" s="7"/>
      <c r="G5" s="89">
        <f>35.5/25000*160000</f>
        <v>227.20000000000002</v>
      </c>
      <c r="H5" s="89">
        <f t="shared" ref="H5:I5" si="0">35.5/25000*160000</f>
        <v>227.20000000000002</v>
      </c>
      <c r="I5" s="90">
        <f t="shared" si="0"/>
        <v>227.20000000000002</v>
      </c>
    </row>
    <row r="6" spans="1:9" x14ac:dyDescent="0.35">
      <c r="A6" s="31" t="s">
        <v>10</v>
      </c>
      <c r="B6" s="14" t="s">
        <v>42</v>
      </c>
      <c r="C6" s="7"/>
      <c r="D6" s="3"/>
      <c r="E6" s="10"/>
      <c r="F6" s="7"/>
      <c r="G6" s="89">
        <v>8</v>
      </c>
      <c r="H6" s="89">
        <v>8</v>
      </c>
      <c r="I6" s="90">
        <v>8</v>
      </c>
    </row>
    <row r="7" spans="1:9" s="1" customFormat="1" x14ac:dyDescent="0.35">
      <c r="A7" s="8" t="s">
        <v>11</v>
      </c>
      <c r="B7" s="14" t="s">
        <v>42</v>
      </c>
      <c r="C7" s="8">
        <f>SUM(C4:C6)</f>
        <v>220</v>
      </c>
      <c r="D7" s="4">
        <f t="shared" ref="D7:I7" si="1">SUM(D4:D6)</f>
        <v>240</v>
      </c>
      <c r="E7" s="20">
        <f t="shared" si="1"/>
        <v>200</v>
      </c>
      <c r="F7" s="8">
        <f t="shared" si="1"/>
        <v>220</v>
      </c>
      <c r="G7" s="4">
        <f t="shared" si="1"/>
        <v>585.20000000000005</v>
      </c>
      <c r="H7" s="4">
        <f t="shared" si="1"/>
        <v>555.20000000000005</v>
      </c>
      <c r="I7" s="20">
        <f t="shared" si="1"/>
        <v>555.20000000000005</v>
      </c>
    </row>
    <row r="8" spans="1:9" s="1" customFormat="1" x14ac:dyDescent="0.35">
      <c r="A8" s="7" t="s">
        <v>18</v>
      </c>
      <c r="B8" s="14" t="s">
        <v>42</v>
      </c>
      <c r="C8" s="8">
        <v>143</v>
      </c>
      <c r="D8" s="4">
        <v>156</v>
      </c>
      <c r="E8" s="20">
        <v>130</v>
      </c>
      <c r="F8" s="8">
        <v>294</v>
      </c>
      <c r="G8" s="4">
        <v>150</v>
      </c>
      <c r="H8" s="4">
        <v>294</v>
      </c>
      <c r="I8" s="20">
        <v>301</v>
      </c>
    </row>
    <row r="9" spans="1:9" s="1" customFormat="1" ht="15" thickBot="1" x14ac:dyDescent="0.4">
      <c r="A9" s="7" t="s">
        <v>19</v>
      </c>
      <c r="B9" s="15" t="s">
        <v>42</v>
      </c>
      <c r="C9" s="21">
        <f>C7-C8</f>
        <v>77</v>
      </c>
      <c r="D9" s="22">
        <f t="shared" ref="D9:I9" si="2">D7-D8</f>
        <v>84</v>
      </c>
      <c r="E9" s="23">
        <f t="shared" si="2"/>
        <v>70</v>
      </c>
      <c r="F9" s="21">
        <f t="shared" si="2"/>
        <v>-74</v>
      </c>
      <c r="G9" s="22">
        <f t="shared" si="2"/>
        <v>435.20000000000005</v>
      </c>
      <c r="H9" s="22">
        <f t="shared" si="2"/>
        <v>261.20000000000005</v>
      </c>
      <c r="I9" s="23">
        <f t="shared" si="2"/>
        <v>254.20000000000005</v>
      </c>
    </row>
    <row r="10" spans="1:9" ht="21.5" thickBot="1" x14ac:dyDescent="0.55000000000000004">
      <c r="A10" s="91" t="s">
        <v>12</v>
      </c>
      <c r="B10" s="92"/>
    </row>
    <row r="11" spans="1:9" x14ac:dyDescent="0.35">
      <c r="A11" s="8" t="s">
        <v>13</v>
      </c>
      <c r="B11" s="15" t="s">
        <v>42</v>
      </c>
      <c r="C11" s="38">
        <f>C12*C13/1000000</f>
        <v>19.2</v>
      </c>
      <c r="D11" s="39">
        <f t="shared" ref="D11:I11" si="3">D12*D13/1000000</f>
        <v>16.5</v>
      </c>
      <c r="E11" s="40">
        <f t="shared" si="3"/>
        <v>23.8</v>
      </c>
      <c r="F11" s="38">
        <f t="shared" si="3"/>
        <v>17.760000000000002</v>
      </c>
      <c r="G11" s="39">
        <f t="shared" si="3"/>
        <v>17.760000000000002</v>
      </c>
      <c r="H11" s="39">
        <f t="shared" si="3"/>
        <v>16.649999999999999</v>
      </c>
      <c r="I11" s="40">
        <f t="shared" si="3"/>
        <v>17.760000000000002</v>
      </c>
    </row>
    <row r="12" spans="1:9" x14ac:dyDescent="0.35">
      <c r="A12" s="7" t="s">
        <v>14</v>
      </c>
      <c r="B12" s="14" t="s">
        <v>44</v>
      </c>
      <c r="C12" s="35">
        <v>160000</v>
      </c>
      <c r="D12" s="36">
        <v>150000</v>
      </c>
      <c r="E12" s="37">
        <v>170000</v>
      </c>
      <c r="F12" s="35">
        <v>160000</v>
      </c>
      <c r="G12" s="36">
        <v>160000</v>
      </c>
      <c r="H12" s="36">
        <v>150000</v>
      </c>
      <c r="I12" s="37">
        <v>160000</v>
      </c>
    </row>
    <row r="13" spans="1:9" x14ac:dyDescent="0.35">
      <c r="A13" s="7" t="s">
        <v>15</v>
      </c>
      <c r="B13" s="14" t="s">
        <v>45</v>
      </c>
      <c r="C13" s="7">
        <v>120</v>
      </c>
      <c r="D13" s="3">
        <v>110</v>
      </c>
      <c r="E13" s="10">
        <v>140</v>
      </c>
      <c r="F13" s="41">
        <v>111</v>
      </c>
      <c r="G13" s="42">
        <f>F13</f>
        <v>111</v>
      </c>
      <c r="H13" s="42">
        <f>G13</f>
        <v>111</v>
      </c>
      <c r="I13" s="43">
        <f>H13</f>
        <v>111</v>
      </c>
    </row>
    <row r="14" spans="1:9" x14ac:dyDescent="0.35">
      <c r="A14" s="8" t="s">
        <v>20</v>
      </c>
      <c r="B14" s="15" t="s">
        <v>42</v>
      </c>
      <c r="C14" s="44">
        <f t="shared" ref="C14:H14" si="4">C15*C17/1000000</f>
        <v>5.76</v>
      </c>
      <c r="D14" s="45">
        <f t="shared" si="4"/>
        <v>3.2</v>
      </c>
      <c r="E14" s="46">
        <f t="shared" si="4"/>
        <v>8.32</v>
      </c>
      <c r="F14" s="44">
        <f t="shared" si="4"/>
        <v>3.4873599999999998</v>
      </c>
      <c r="G14" s="45">
        <f t="shared" si="4"/>
        <v>3.84</v>
      </c>
      <c r="H14" s="45">
        <f t="shared" si="4"/>
        <v>2.1920000000000002</v>
      </c>
      <c r="I14" s="46">
        <f>(I15+I16)*I17/1000000</f>
        <v>2.2799999999999998</v>
      </c>
    </row>
    <row r="15" spans="1:9" x14ac:dyDescent="0.35">
      <c r="A15" s="7" t="s">
        <v>21</v>
      </c>
      <c r="B15" s="14" t="s">
        <v>46</v>
      </c>
      <c r="C15" s="35">
        <v>64000</v>
      </c>
      <c r="D15" s="36">
        <v>64000</v>
      </c>
      <c r="E15" s="37">
        <v>64000</v>
      </c>
      <c r="F15" s="35">
        <v>64000</v>
      </c>
      <c r="G15" s="36">
        <v>64000</v>
      </c>
      <c r="H15" s="36">
        <v>64000</v>
      </c>
      <c r="I15" s="37">
        <v>64000</v>
      </c>
    </row>
    <row r="16" spans="1:9" x14ac:dyDescent="0.35">
      <c r="A16" s="47" t="s">
        <v>53</v>
      </c>
      <c r="B16" s="30" t="s">
        <v>54</v>
      </c>
      <c r="C16" s="35"/>
      <c r="D16" s="36"/>
      <c r="E16" s="37"/>
      <c r="F16" s="35"/>
      <c r="G16" s="36"/>
      <c r="H16" s="36"/>
      <c r="I16" s="37">
        <f>-26000</f>
        <v>-26000</v>
      </c>
    </row>
    <row r="17" spans="1:9" x14ac:dyDescent="0.35">
      <c r="A17" s="7" t="s">
        <v>63</v>
      </c>
      <c r="B17" s="14" t="s">
        <v>47</v>
      </c>
      <c r="C17" s="7">
        <v>90</v>
      </c>
      <c r="D17" s="3">
        <v>50</v>
      </c>
      <c r="E17" s="10">
        <v>130</v>
      </c>
      <c r="F17" s="41">
        <v>54.49</v>
      </c>
      <c r="G17" s="42">
        <v>60</v>
      </c>
      <c r="H17" s="42">
        <v>34.25</v>
      </c>
      <c r="I17" s="43">
        <v>60</v>
      </c>
    </row>
    <row r="18" spans="1:9" x14ac:dyDescent="0.35">
      <c r="A18" s="8" t="s">
        <v>22</v>
      </c>
      <c r="B18" s="15" t="s">
        <v>42</v>
      </c>
      <c r="C18" s="44">
        <f t="shared" ref="C18:I18" si="5">C19*C20/1000000</f>
        <v>2.7</v>
      </c>
      <c r="D18" s="45">
        <f t="shared" si="5"/>
        <v>1.8</v>
      </c>
      <c r="E18" s="46">
        <f t="shared" si="5"/>
        <v>3.6</v>
      </c>
      <c r="F18" s="44">
        <f t="shared" si="5"/>
        <v>1.8</v>
      </c>
      <c r="G18" s="45">
        <f t="shared" si="5"/>
        <v>1.8</v>
      </c>
      <c r="H18" s="45">
        <f t="shared" si="5"/>
        <v>1.8</v>
      </c>
      <c r="I18" s="46">
        <f t="shared" si="5"/>
        <v>1.8</v>
      </c>
    </row>
    <row r="19" spans="1:9" x14ac:dyDescent="0.35">
      <c r="A19" s="7" t="s">
        <v>23</v>
      </c>
      <c r="B19" s="14" t="s">
        <v>46</v>
      </c>
      <c r="C19" s="35">
        <v>45000</v>
      </c>
      <c r="D19" s="36">
        <v>45000</v>
      </c>
      <c r="E19" s="37">
        <v>45000</v>
      </c>
      <c r="F19" s="35">
        <f>E19</f>
        <v>45000</v>
      </c>
      <c r="G19" s="36">
        <f t="shared" ref="G19:I19" si="6">F19</f>
        <v>45000</v>
      </c>
      <c r="H19" s="36">
        <f t="shared" si="6"/>
        <v>45000</v>
      </c>
      <c r="I19" s="37">
        <f t="shared" si="6"/>
        <v>45000</v>
      </c>
    </row>
    <row r="20" spans="1:9" x14ac:dyDescent="0.35">
      <c r="A20" s="7" t="s">
        <v>16</v>
      </c>
      <c r="B20" s="14" t="s">
        <v>47</v>
      </c>
      <c r="C20" s="35">
        <v>60</v>
      </c>
      <c r="D20" s="36">
        <v>40</v>
      </c>
      <c r="E20" s="37">
        <v>80</v>
      </c>
      <c r="F20" s="35">
        <v>40</v>
      </c>
      <c r="G20" s="36">
        <v>40</v>
      </c>
      <c r="H20" s="36">
        <v>40</v>
      </c>
      <c r="I20" s="37">
        <v>40</v>
      </c>
    </row>
    <row r="21" spans="1:9" x14ac:dyDescent="0.35">
      <c r="A21" s="8" t="s">
        <v>24</v>
      </c>
      <c r="B21" s="15" t="s">
        <v>42</v>
      </c>
      <c r="C21" s="44">
        <f>C23*C22/1000000</f>
        <v>1.28</v>
      </c>
      <c r="D21" s="45">
        <f t="shared" ref="D21:I21" si="7">D23*D22/1000000</f>
        <v>1.28</v>
      </c>
      <c r="E21" s="46">
        <f t="shared" si="7"/>
        <v>1.28</v>
      </c>
      <c r="F21" s="44">
        <f t="shared" si="7"/>
        <v>0</v>
      </c>
      <c r="G21" s="45">
        <f t="shared" si="7"/>
        <v>0</v>
      </c>
      <c r="H21" s="45">
        <f t="shared" si="7"/>
        <v>0</v>
      </c>
      <c r="I21" s="46">
        <f t="shared" si="7"/>
        <v>0</v>
      </c>
    </row>
    <row r="22" spans="1:9" x14ac:dyDescent="0.35">
      <c r="A22" s="7" t="s">
        <v>23</v>
      </c>
      <c r="B22" s="14" t="s">
        <v>46</v>
      </c>
      <c r="C22" s="35">
        <v>32000</v>
      </c>
      <c r="D22" s="36">
        <v>32000</v>
      </c>
      <c r="E22" s="37">
        <v>32000</v>
      </c>
      <c r="F22" s="35"/>
      <c r="G22" s="36"/>
      <c r="H22" s="36"/>
      <c r="I22" s="37"/>
    </row>
    <row r="23" spans="1:9" x14ac:dyDescent="0.35">
      <c r="A23" s="7" t="s">
        <v>16</v>
      </c>
      <c r="B23" s="14" t="s">
        <v>47</v>
      </c>
      <c r="C23" s="35">
        <v>40</v>
      </c>
      <c r="D23" s="36">
        <v>40</v>
      </c>
      <c r="E23" s="37">
        <v>40</v>
      </c>
      <c r="F23" s="35">
        <v>40</v>
      </c>
      <c r="G23" s="36">
        <v>40</v>
      </c>
      <c r="H23" s="36">
        <v>40</v>
      </c>
      <c r="I23" s="37">
        <v>40</v>
      </c>
    </row>
    <row r="24" spans="1:9" x14ac:dyDescent="0.35">
      <c r="A24" s="8" t="s">
        <v>25</v>
      </c>
      <c r="B24" s="15" t="s">
        <v>42</v>
      </c>
      <c r="C24" s="44">
        <f>C26*C25/1000000</f>
        <v>6.6</v>
      </c>
      <c r="D24" s="45">
        <f t="shared" ref="D24:I24" si="8">D26*D25/1000000</f>
        <v>3.9</v>
      </c>
      <c r="E24" s="46">
        <f t="shared" si="8"/>
        <v>9</v>
      </c>
      <c r="F24" s="44">
        <f t="shared" si="8"/>
        <v>2.1432000000000002</v>
      </c>
      <c r="G24" s="45">
        <f t="shared" si="8"/>
        <v>2.1432000000000002</v>
      </c>
      <c r="H24" s="45">
        <f t="shared" si="8"/>
        <v>1.4288000000000001</v>
      </c>
      <c r="I24" s="46">
        <f t="shared" si="8"/>
        <v>1.4288000000000001</v>
      </c>
    </row>
    <row r="25" spans="1:9" x14ac:dyDescent="0.35">
      <c r="A25" s="7" t="s">
        <v>57</v>
      </c>
      <c r="B25" s="14" t="s">
        <v>46</v>
      </c>
      <c r="C25" s="48">
        <v>165000</v>
      </c>
      <c r="D25" s="49">
        <v>130000</v>
      </c>
      <c r="E25" s="50">
        <v>180000</v>
      </c>
      <c r="F25" s="48">
        <v>120000</v>
      </c>
      <c r="G25" s="49">
        <f>F25</f>
        <v>120000</v>
      </c>
      <c r="H25" s="49">
        <v>80000</v>
      </c>
      <c r="I25" s="50">
        <f>H25</f>
        <v>80000</v>
      </c>
    </row>
    <row r="26" spans="1:9" x14ac:dyDescent="0.35">
      <c r="A26" s="7" t="s">
        <v>17</v>
      </c>
      <c r="B26" s="14" t="s">
        <v>47</v>
      </c>
      <c r="C26" s="35">
        <v>40</v>
      </c>
      <c r="D26" s="36">
        <v>30</v>
      </c>
      <c r="E26" s="37">
        <v>50</v>
      </c>
      <c r="F26" s="81">
        <v>17.86</v>
      </c>
      <c r="G26" s="82">
        <v>17.86</v>
      </c>
      <c r="H26" s="82">
        <v>17.86</v>
      </c>
      <c r="I26" s="83">
        <v>17.86</v>
      </c>
    </row>
    <row r="27" spans="1:9" x14ac:dyDescent="0.35">
      <c r="A27" s="7" t="s">
        <v>58</v>
      </c>
      <c r="B27" s="14" t="s">
        <v>46</v>
      </c>
      <c r="C27" s="35">
        <f t="shared" ref="C27:I27" si="9">C25+C22+C19</f>
        <v>242000</v>
      </c>
      <c r="D27" s="36">
        <f t="shared" si="9"/>
        <v>207000</v>
      </c>
      <c r="E27" s="37">
        <f t="shared" si="9"/>
        <v>257000</v>
      </c>
      <c r="F27" s="35">
        <f t="shared" si="9"/>
        <v>165000</v>
      </c>
      <c r="G27" s="36">
        <f t="shared" si="9"/>
        <v>165000</v>
      </c>
      <c r="H27" s="36">
        <f t="shared" si="9"/>
        <v>125000</v>
      </c>
      <c r="I27" s="37">
        <f t="shared" si="9"/>
        <v>125000</v>
      </c>
    </row>
    <row r="28" spans="1:9" x14ac:dyDescent="0.35">
      <c r="A28" s="47" t="s">
        <v>55</v>
      </c>
      <c r="B28" s="30" t="s">
        <v>56</v>
      </c>
      <c r="C28" s="35"/>
      <c r="D28" s="36"/>
      <c r="E28" s="37"/>
      <c r="F28" s="35"/>
      <c r="G28" s="36"/>
      <c r="H28" s="36"/>
      <c r="I28" s="51">
        <f>-117000</f>
        <v>-117000</v>
      </c>
    </row>
    <row r="29" spans="1:9" x14ac:dyDescent="0.35">
      <c r="A29" s="47" t="s">
        <v>59</v>
      </c>
      <c r="B29" s="14" t="s">
        <v>46</v>
      </c>
      <c r="C29" s="35">
        <f>C27-C28</f>
        <v>242000</v>
      </c>
      <c r="D29" s="36">
        <f t="shared" ref="D29:I29" si="10">D27-D28</f>
        <v>207000</v>
      </c>
      <c r="E29" s="37">
        <f t="shared" si="10"/>
        <v>257000</v>
      </c>
      <c r="F29" s="35">
        <f t="shared" si="10"/>
        <v>165000</v>
      </c>
      <c r="G29" s="36">
        <f t="shared" si="10"/>
        <v>165000</v>
      </c>
      <c r="H29" s="36">
        <f t="shared" si="10"/>
        <v>125000</v>
      </c>
      <c r="I29" s="51">
        <f t="shared" si="10"/>
        <v>242000</v>
      </c>
    </row>
    <row r="30" spans="1:9" ht="21" x14ac:dyDescent="0.5">
      <c r="A30" s="9" t="s">
        <v>26</v>
      </c>
      <c r="B30" s="52" t="s">
        <v>42</v>
      </c>
      <c r="C30" s="53">
        <f t="shared" ref="C30:H30" si="11">C24+C21+C18+C14+C11</f>
        <v>35.54</v>
      </c>
      <c r="D30" s="54">
        <f t="shared" si="11"/>
        <v>26.68</v>
      </c>
      <c r="E30" s="55">
        <f t="shared" si="11"/>
        <v>46</v>
      </c>
      <c r="F30" s="53">
        <f t="shared" si="11"/>
        <v>25.190560000000001</v>
      </c>
      <c r="G30" s="54">
        <f t="shared" si="11"/>
        <v>25.543200000000002</v>
      </c>
      <c r="H30" s="54">
        <f t="shared" si="11"/>
        <v>22.070799999999998</v>
      </c>
      <c r="I30" s="55">
        <f>+I14+I11+(I29*I26/1000000)</f>
        <v>24.362120000000004</v>
      </c>
    </row>
    <row r="31" spans="1:9" x14ac:dyDescent="0.35">
      <c r="A31" s="96" t="s">
        <v>27</v>
      </c>
      <c r="B31" s="97"/>
      <c r="C31" s="97"/>
      <c r="D31" s="97"/>
      <c r="E31" s="97"/>
      <c r="F31" s="97"/>
      <c r="G31" s="97"/>
      <c r="H31" s="97"/>
      <c r="I31" s="98"/>
    </row>
    <row r="32" spans="1:9" ht="21.5" thickBot="1" x14ac:dyDescent="0.55000000000000004">
      <c r="A32" s="9" t="s">
        <v>28</v>
      </c>
    </row>
    <row r="33" spans="1:9" x14ac:dyDescent="0.35">
      <c r="A33" s="7" t="s">
        <v>29</v>
      </c>
      <c r="B33" s="14" t="s">
        <v>42</v>
      </c>
      <c r="C33" s="65">
        <v>-3.9</v>
      </c>
      <c r="D33" s="66">
        <v>-5.5</v>
      </c>
      <c r="E33" s="67">
        <v>-2.9</v>
      </c>
      <c r="F33" s="65">
        <v>-3.27</v>
      </c>
      <c r="G33" s="66">
        <v>-3.27</v>
      </c>
      <c r="H33" s="66">
        <v>-5.5</v>
      </c>
      <c r="I33" s="67">
        <v>-5.5</v>
      </c>
    </row>
    <row r="34" spans="1:9" x14ac:dyDescent="0.35">
      <c r="A34" s="7" t="s">
        <v>30</v>
      </c>
      <c r="B34" s="14" t="s">
        <v>48</v>
      </c>
      <c r="C34" s="7">
        <v>24</v>
      </c>
      <c r="D34" s="3">
        <v>34</v>
      </c>
      <c r="E34" s="10">
        <v>18</v>
      </c>
      <c r="F34" s="7"/>
      <c r="G34" s="3"/>
      <c r="H34" s="3">
        <v>34</v>
      </c>
      <c r="I34" s="10">
        <v>34</v>
      </c>
    </row>
    <row r="35" spans="1:9" x14ac:dyDescent="0.35">
      <c r="A35" s="7" t="s">
        <v>49</v>
      </c>
      <c r="B35" s="14" t="s">
        <v>42</v>
      </c>
      <c r="C35" s="32">
        <v>-3</v>
      </c>
      <c r="D35" s="33">
        <v>-4.9000000000000004</v>
      </c>
      <c r="E35" s="34">
        <v>-2</v>
      </c>
      <c r="F35" s="32">
        <f>-F7*F36</f>
        <v>-2.992</v>
      </c>
      <c r="G35" s="33">
        <f>-G7*G36</f>
        <v>-7.9587200000000005</v>
      </c>
      <c r="H35" s="33">
        <f>-H7*H36</f>
        <v>-7.5507200000000001</v>
      </c>
      <c r="I35" s="34">
        <f>-I7*I36</f>
        <v>-7.5507200000000001</v>
      </c>
    </row>
    <row r="36" spans="1:9" x14ac:dyDescent="0.35">
      <c r="A36" s="7" t="s">
        <v>50</v>
      </c>
      <c r="B36" s="14" t="s">
        <v>43</v>
      </c>
      <c r="C36" s="57">
        <v>-1.3599999999999999E-2</v>
      </c>
      <c r="D36" s="60">
        <v>-2.0400000000000001E-2</v>
      </c>
      <c r="E36" s="61">
        <v>-0.01</v>
      </c>
      <c r="F36" s="57">
        <v>1.3599999999999999E-2</v>
      </c>
      <c r="G36" s="60">
        <v>1.3599999999999999E-2</v>
      </c>
      <c r="H36" s="60">
        <v>1.3599999999999999E-2</v>
      </c>
      <c r="I36" s="61">
        <v>1.3599999999999999E-2</v>
      </c>
    </row>
    <row r="37" spans="1:9" x14ac:dyDescent="0.35">
      <c r="A37" s="7" t="s">
        <v>31</v>
      </c>
      <c r="B37" s="14" t="s">
        <v>42</v>
      </c>
      <c r="C37" s="32">
        <v>-1</v>
      </c>
      <c r="D37" s="33">
        <v>-2</v>
      </c>
      <c r="E37" s="34">
        <v>-0.8</v>
      </c>
      <c r="F37" s="32">
        <v>-1.64</v>
      </c>
      <c r="G37" s="33">
        <v>-1.64</v>
      </c>
      <c r="H37" s="33">
        <v>-2</v>
      </c>
      <c r="I37" s="34">
        <v>-2</v>
      </c>
    </row>
    <row r="38" spans="1:9" x14ac:dyDescent="0.35">
      <c r="A38" s="7" t="s">
        <v>32</v>
      </c>
      <c r="B38" s="14" t="s">
        <v>42</v>
      </c>
      <c r="C38" s="32">
        <v>-5.3</v>
      </c>
      <c r="D38" s="33">
        <v>-7</v>
      </c>
      <c r="E38" s="34">
        <v>-4.5</v>
      </c>
      <c r="F38" s="32">
        <v>-5.57</v>
      </c>
      <c r="G38" s="33">
        <v>-5.57</v>
      </c>
      <c r="H38" s="33">
        <v>-7</v>
      </c>
      <c r="I38" s="34">
        <v>-7</v>
      </c>
    </row>
    <row r="39" spans="1:9" x14ac:dyDescent="0.35">
      <c r="A39" s="84" t="s">
        <v>64</v>
      </c>
      <c r="B39" s="85" t="s">
        <v>42</v>
      </c>
      <c r="C39" s="86"/>
      <c r="D39" s="87"/>
      <c r="E39" s="88"/>
      <c r="F39" s="86"/>
      <c r="G39" s="87"/>
      <c r="H39" s="87">
        <f>-14.2/25000*160000</f>
        <v>-90.88</v>
      </c>
      <c r="I39" s="88">
        <f>-14.2/25000*160000</f>
        <v>-90.88</v>
      </c>
    </row>
    <row r="40" spans="1:9" x14ac:dyDescent="0.35">
      <c r="A40" s="7" t="s">
        <v>33</v>
      </c>
      <c r="B40" s="14" t="s">
        <v>42</v>
      </c>
      <c r="C40" s="32">
        <v>-1.7</v>
      </c>
      <c r="D40" s="33">
        <v>-2.1</v>
      </c>
      <c r="E40" s="34">
        <v>-1</v>
      </c>
      <c r="F40" s="32">
        <v>-2.1</v>
      </c>
      <c r="G40" s="33">
        <v>-2.16</v>
      </c>
      <c r="H40" s="33">
        <v>-2.16</v>
      </c>
      <c r="I40" s="34">
        <v>-2.16</v>
      </c>
    </row>
    <row r="41" spans="1:9" x14ac:dyDescent="0.35">
      <c r="A41" s="7" t="s">
        <v>34</v>
      </c>
      <c r="B41" s="14" t="s">
        <v>42</v>
      </c>
      <c r="C41" s="32">
        <v>-8.8000000000000007</v>
      </c>
      <c r="D41" s="33">
        <v>-9.6</v>
      </c>
      <c r="E41" s="34">
        <v>-8</v>
      </c>
      <c r="F41" s="32">
        <v>-15.12</v>
      </c>
      <c r="G41" s="33">
        <v>-8.8000000000000007</v>
      </c>
      <c r="H41" s="33">
        <v>-15.12</v>
      </c>
      <c r="I41" s="34">
        <v>-15.12</v>
      </c>
    </row>
    <row r="42" spans="1:9" ht="29" x14ac:dyDescent="0.35">
      <c r="A42" s="11" t="s">
        <v>35</v>
      </c>
      <c r="B42" s="14" t="s">
        <v>42</v>
      </c>
      <c r="C42" s="56">
        <v>-6.1499999999999999E-2</v>
      </c>
      <c r="D42" s="58">
        <v>-6.1499999999999999E-2</v>
      </c>
      <c r="E42" s="59">
        <v>-6.1499999999999999E-2</v>
      </c>
      <c r="F42" s="56">
        <v>-5.1400000000000001E-2</v>
      </c>
      <c r="G42" s="58">
        <v>-5.8700000000000002E-2</v>
      </c>
      <c r="H42" s="58">
        <v>-5.1400000000000001E-2</v>
      </c>
      <c r="I42" s="59">
        <v>-5.0200000000000002E-2</v>
      </c>
    </row>
    <row r="43" spans="1:9" ht="15" thickBot="1" x14ac:dyDescent="0.4">
      <c r="A43" s="7" t="s">
        <v>36</v>
      </c>
      <c r="B43" s="14" t="s">
        <v>42</v>
      </c>
      <c r="C43" s="62">
        <f>-C8*0.03</f>
        <v>-4.29</v>
      </c>
      <c r="D43" s="63">
        <f t="shared" ref="D43:I43" si="12">-D8*0.03</f>
        <v>-4.68</v>
      </c>
      <c r="E43" s="64">
        <f t="shared" si="12"/>
        <v>-3.9</v>
      </c>
      <c r="F43" s="62">
        <f t="shared" si="12"/>
        <v>-8.82</v>
      </c>
      <c r="G43" s="63">
        <f t="shared" si="12"/>
        <v>-4.5</v>
      </c>
      <c r="H43" s="63">
        <f t="shared" si="12"/>
        <v>-8.82</v>
      </c>
      <c r="I43" s="64">
        <f t="shared" si="12"/>
        <v>-9.0299999999999994</v>
      </c>
    </row>
    <row r="44" spans="1:9" ht="21.5" thickBot="1" x14ac:dyDescent="0.55000000000000004">
      <c r="A44" s="9" t="s">
        <v>37</v>
      </c>
      <c r="B44" s="71" t="s">
        <v>42</v>
      </c>
      <c r="C44" s="75">
        <f>C43+C41+C40+C38+C37+C35+C33</f>
        <v>-27.99</v>
      </c>
      <c r="D44" s="76">
        <f t="shared" ref="D44:G44" si="13">D43+D41+D40+D38+D37+D35+D33</f>
        <v>-35.78</v>
      </c>
      <c r="E44" s="77">
        <f t="shared" si="13"/>
        <v>-23.099999999999998</v>
      </c>
      <c r="F44" s="78">
        <f t="shared" si="13"/>
        <v>-39.512</v>
      </c>
      <c r="G44" s="79">
        <f t="shared" si="13"/>
        <v>-33.898720000000004</v>
      </c>
      <c r="H44" s="79">
        <f>H43+H41+H40+H38+H37+H35+H33+H39</f>
        <v>-139.03071999999997</v>
      </c>
      <c r="I44" s="80">
        <f>I43+I41+I40+I38+I37+I35+I33+I39</f>
        <v>-139.24072000000001</v>
      </c>
    </row>
    <row r="45" spans="1:9" s="2" customFormat="1" ht="16" x14ac:dyDescent="0.4">
      <c r="A45" s="26" t="s">
        <v>51</v>
      </c>
      <c r="B45" s="27" t="s">
        <v>42</v>
      </c>
      <c r="C45" s="68">
        <f>C30+C44</f>
        <v>7.5500000000000007</v>
      </c>
      <c r="D45" s="69">
        <f t="shared" ref="D45:I45" si="14">D30+D44</f>
        <v>-9.1000000000000014</v>
      </c>
      <c r="E45" s="70">
        <f t="shared" si="14"/>
        <v>22.900000000000002</v>
      </c>
      <c r="F45" s="68">
        <f t="shared" si="14"/>
        <v>-14.321439999999999</v>
      </c>
      <c r="G45" s="69">
        <f t="shared" si="14"/>
        <v>-8.3555200000000021</v>
      </c>
      <c r="H45" s="69">
        <f t="shared" si="14"/>
        <v>-116.95991999999998</v>
      </c>
      <c r="I45" s="70">
        <f t="shared" si="14"/>
        <v>-114.87860000000001</v>
      </c>
    </row>
    <row r="46" spans="1:9" x14ac:dyDescent="0.35">
      <c r="A46" s="7" t="s">
        <v>38</v>
      </c>
      <c r="B46" s="14" t="s">
        <v>42</v>
      </c>
      <c r="C46" s="32">
        <f>-C45*0.184</f>
        <v>-1.3892000000000002</v>
      </c>
      <c r="D46" s="33"/>
      <c r="E46" s="34">
        <f>-E45*0.184</f>
        <v>-4.2136000000000005</v>
      </c>
      <c r="F46" s="7"/>
      <c r="G46" s="3"/>
      <c r="H46" s="3"/>
      <c r="I46" s="10"/>
    </row>
    <row r="47" spans="1:9" ht="18.5" x14ac:dyDescent="0.45">
      <c r="A47" s="12" t="s">
        <v>52</v>
      </c>
      <c r="B47" s="52" t="s">
        <v>42</v>
      </c>
      <c r="C47" s="72">
        <f>C45+C46</f>
        <v>6.1608000000000001</v>
      </c>
      <c r="D47" s="73">
        <f t="shared" ref="D47:I47" si="15">D45+D46</f>
        <v>-9.1000000000000014</v>
      </c>
      <c r="E47" s="74">
        <f t="shared" si="15"/>
        <v>18.686400000000003</v>
      </c>
      <c r="F47" s="72">
        <f t="shared" si="15"/>
        <v>-14.321439999999999</v>
      </c>
      <c r="G47" s="73">
        <f t="shared" si="15"/>
        <v>-8.3555200000000021</v>
      </c>
      <c r="H47" s="73">
        <f t="shared" si="15"/>
        <v>-116.95991999999998</v>
      </c>
      <c r="I47" s="74">
        <f t="shared" si="15"/>
        <v>-114.87860000000001</v>
      </c>
    </row>
    <row r="48" spans="1:9" ht="15" thickBot="1" x14ac:dyDescent="0.4">
      <c r="A48" s="13" t="s">
        <v>39</v>
      </c>
      <c r="B48" s="16" t="s">
        <v>43</v>
      </c>
      <c r="C48" s="13"/>
      <c r="D48" s="24"/>
      <c r="E48" s="25"/>
      <c r="F48" s="13"/>
      <c r="G48" s="24"/>
      <c r="H48" s="24"/>
      <c r="I48" s="25"/>
    </row>
    <row r="49" spans="1:3" x14ac:dyDescent="0.35">
      <c r="A49" s="28" t="s">
        <v>40</v>
      </c>
      <c r="C49" t="s">
        <v>41</v>
      </c>
    </row>
    <row r="50" spans="1:3" x14ac:dyDescent="0.35">
      <c r="C50" t="s">
        <v>65</v>
      </c>
    </row>
  </sheetData>
  <mergeCells count="4">
    <mergeCell ref="A10:B10"/>
    <mergeCell ref="B2:D2"/>
    <mergeCell ref="A31:I31"/>
    <mergeCell ref="A1:I1"/>
  </mergeCells>
  <phoneticPr fontId="3" type="noConversion"/>
  <conditionalFormatting sqref="A30:I30">
    <cfRule type="cellIs" dxfId="4" priority="1" operator="greaterThan">
      <formula>0</formula>
    </cfRule>
  </conditionalFormatting>
  <conditionalFormatting sqref="C44:I47">
    <cfRule type="cellIs" dxfId="3" priority="2" operator="lessThan">
      <formula>0</formula>
    </cfRule>
    <cfRule type="cellIs" dxfId="2" priority="3" operator="greaterThan">
      <formula>0</formula>
    </cfRule>
  </conditionalFormatting>
  <conditionalFormatting sqref="I16">
    <cfRule type="cellIs" dxfId="1" priority="6" operator="lessThan">
      <formula>0</formula>
    </cfRule>
  </conditionalFormatting>
  <conditionalFormatting sqref="I28">
    <cfRule type="cellIs" dxfId="0" priority="5" operator="lessThan">
      <formula>0</formula>
    </cfRule>
  </conditionalFormatting>
  <pageMargins left="0.7" right="0.7" top="0.78740157499999996" bottom="0.78740157499999996" header="0.3" footer="0.3"/>
  <pageSetup paperSize="9" scale="83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Planerfolgsrechnung Renzo</vt:lpstr>
      <vt:lpstr>'Planerfolgsrechnung Renzo'!Druckbereich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Bürkli</dc:creator>
  <cp:lastModifiedBy>Markus Bürkli</cp:lastModifiedBy>
  <cp:lastPrinted>2024-12-02T07:44:01Z</cp:lastPrinted>
  <dcterms:created xsi:type="dcterms:W3CDTF">2024-05-09T05:04:25Z</dcterms:created>
  <dcterms:modified xsi:type="dcterms:W3CDTF">2025-03-06T18:42:07Z</dcterms:modified>
</cp:coreProperties>
</file>